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3"/>
  </bookViews>
  <sheets>
    <sheet name="Gráfico1" sheetId="1" r:id="rId1"/>
    <sheet name="Gráfico2" sheetId="2" r:id="rId2"/>
    <sheet name="Gráfico3" sheetId="3" r:id="rId3"/>
    <sheet name="Hoja1" sheetId="4" r:id="rId4"/>
    <sheet name="Hoja2" sheetId="5" r:id="rId5"/>
  </sheets>
  <definedNames>
    <definedName name="_xlnm.Print_Area" localSheetId="3">'Hoja1'!$A$2:$N$19</definedName>
  </definedNames>
  <calcPr fullCalcOnLoad="1"/>
</workbook>
</file>

<file path=xl/comments4.xml><?xml version="1.0" encoding="utf-8"?>
<comments xmlns="http://schemas.openxmlformats.org/spreadsheetml/2006/main">
  <authors>
    <author>GSUAREZ</author>
  </authors>
  <commentList>
    <comment ref="D12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Según reporte enviado por Interseguro el importe por S/.11,299.93 corresponde a Interseguro</t>
        </r>
      </text>
    </comment>
    <comment ref="E15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Según información SBS los importes por S/.12,728.47 y 14,799.47 corrsponden a Pacifico.</t>
        </r>
      </text>
    </comment>
    <comment ref="E16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Según información SBS el importe de S/.9,801.20 corresponde a Pacifico
</t>
        </r>
      </text>
    </comment>
    <comment ref="E18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Según información SBS el importe de S/.8,995.27 corresponde a Pacifico</t>
        </r>
      </text>
    </comment>
    <comment ref="F11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Según reporte SBS el importe de S/.36953.67 corresponde a Rimac.</t>
        </r>
      </text>
    </comment>
  </commentList>
</comments>
</file>

<file path=xl/comments5.xml><?xml version="1.0" encoding="utf-8"?>
<comments xmlns="http://schemas.openxmlformats.org/spreadsheetml/2006/main">
  <authors>
    <author>GSUAREZ</author>
  </authors>
  <commentList>
    <comment ref="I17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Se pago en Enero del 2007.</t>
        </r>
      </text>
    </comment>
  </commentList>
</comments>
</file>

<file path=xl/sharedStrings.xml><?xml version="1.0" encoding="utf-8"?>
<sst xmlns="http://schemas.openxmlformats.org/spreadsheetml/2006/main" count="68" uniqueCount="39">
  <si>
    <t>(En nuevos soles)</t>
  </si>
  <si>
    <t>AGOSTO</t>
  </si>
  <si>
    <t>SETIEMBRE</t>
  </si>
  <si>
    <t>OCTUBRE</t>
  </si>
  <si>
    <t>NOVIEMBRE</t>
  </si>
  <si>
    <t>DICIEMBRE</t>
  </si>
  <si>
    <t>LA POSITIVA</t>
  </si>
  <si>
    <t>INTERSEGUROS</t>
  </si>
  <si>
    <t>GENERALI PERU</t>
  </si>
  <si>
    <t>Meses  /  Compañias</t>
  </si>
  <si>
    <t>Total Aporte por Compañia</t>
  </si>
  <si>
    <t xml:space="preserve"> </t>
  </si>
  <si>
    <t>CONVENIO FONDO - SAT</t>
  </si>
  <si>
    <t>ENERO</t>
  </si>
  <si>
    <t>FEBRERO</t>
  </si>
  <si>
    <t>MARZO</t>
  </si>
  <si>
    <t>ABRIL</t>
  </si>
  <si>
    <t>MAYO</t>
  </si>
  <si>
    <t>JUNIO</t>
  </si>
  <si>
    <t>JULIO</t>
  </si>
  <si>
    <t>LATINA</t>
  </si>
  <si>
    <t>MAPFRE</t>
  </si>
  <si>
    <t>PACIFICO</t>
  </si>
  <si>
    <t>RIMAC</t>
  </si>
  <si>
    <t>SULAMERICA</t>
  </si>
  <si>
    <t>Total Aportes Aseguradoras</t>
  </si>
  <si>
    <t>Indemnización por Muerte no Cobrada</t>
  </si>
  <si>
    <t>Total Recaudado</t>
  </si>
  <si>
    <t>CUADRO DE RECAUDACIÓN DEL FONDO DE COMPENSACION DEL SOAT - 2006</t>
  </si>
  <si>
    <t>ANEXO Nº 18</t>
  </si>
  <si>
    <t>CUADRO DE PRIMAS NETAS POR EMPRESA DE SEGUROS SEGÚN SBS</t>
  </si>
  <si>
    <t>Meses  /  Compañías</t>
  </si>
  <si>
    <t>MAPFRE PERÚ</t>
  </si>
  <si>
    <t>EL PACIFICO PERUANO SUIZA</t>
  </si>
  <si>
    <t>RIMAC INTERNACIONAL</t>
  </si>
  <si>
    <t>SUL AMERICA</t>
  </si>
  <si>
    <t>GENERALI</t>
  </si>
  <si>
    <t>Acumulado</t>
  </si>
  <si>
    <t>Mensual</t>
  </si>
</sst>
</file>

<file path=xl/styles.xml><?xml version="1.0" encoding="utf-8"?>
<styleSheet xmlns="http://schemas.openxmlformats.org/spreadsheetml/2006/main">
  <numFmts count="1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\ ###\ ##0____\ ;_(* \(#\ ###\ ##0\)_ __\ ;_ * &quot;-&quot;??_ ;_ @_ "/>
  </numFmts>
  <fonts count="1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right" vertical="center" wrapText="1"/>
    </xf>
    <xf numFmtId="171" fontId="1" fillId="2" borderId="5" xfId="15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71" fontId="1" fillId="2" borderId="5" xfId="15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0" fillId="3" borderId="1" xfId="0" applyNumberFormat="1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 wrapText="1"/>
    </xf>
    <xf numFmtId="4" fontId="0" fillId="3" borderId="7" xfId="0" applyNumberFormat="1" applyFont="1" applyFill="1" applyBorder="1" applyAlignment="1">
      <alignment horizontal="right" vertical="center" wrapText="1"/>
    </xf>
    <xf numFmtId="4" fontId="0" fillId="4" borderId="8" xfId="0" applyNumberFormat="1" applyFill="1" applyBorder="1" applyAlignment="1">
      <alignment horizontal="right" vertical="center" wrapText="1"/>
    </xf>
    <xf numFmtId="171" fontId="1" fillId="2" borderId="9" xfId="15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6" borderId="7" xfId="0" applyNumberFormat="1" applyFont="1" applyFill="1" applyBorder="1" applyAlignment="1">
      <alignment horizontal="right" vertical="center" wrapText="1"/>
    </xf>
    <xf numFmtId="4" fontId="0" fillId="5" borderId="10" xfId="0" applyNumberFormat="1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2" fontId="7" fillId="0" borderId="1" xfId="17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172" fontId="7" fillId="0" borderId="4" xfId="17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right" vertical="center" wrapText="1"/>
    </xf>
    <xf numFmtId="1" fontId="7" fillId="4" borderId="4" xfId="0" applyNumberFormat="1" applyFont="1" applyFill="1" applyBorder="1" applyAlignment="1">
      <alignment horizontal="right" vertical="center" wrapText="1"/>
    </xf>
    <xf numFmtId="1" fontId="7" fillId="0" borderId="17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Millares [0]_Primas_1_092001Pub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RECAUDACIÓN POR EMPRESA ASEGURADORA</a:t>
            </a:r>
          </a:p>
        </c:rich>
      </c:tx>
      <c:layout>
        <c:manualLayout>
          <c:xMode val="factor"/>
          <c:yMode val="factor"/>
          <c:x val="0"/>
          <c:y val="0.0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75"/>
          <c:y val="0.29325"/>
          <c:w val="0.46575"/>
          <c:h val="0.265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(Hoja1!$B$5:$F$5,Hoja1!$I$5)</c:f>
              <c:strCache>
                <c:ptCount val="6"/>
                <c:pt idx="0">
                  <c:v>LA POSITIVA</c:v>
                </c:pt>
                <c:pt idx="1">
                  <c:v>MAPFRE</c:v>
                </c:pt>
                <c:pt idx="2">
                  <c:v>INTERSEGUROS</c:v>
                </c:pt>
                <c:pt idx="3">
                  <c:v>PACIFICO</c:v>
                </c:pt>
                <c:pt idx="4">
                  <c:v>RIMAC</c:v>
                </c:pt>
                <c:pt idx="5">
                  <c:v>LATINA</c:v>
                </c:pt>
              </c:strCache>
            </c:strRef>
          </c:cat>
          <c:val>
            <c:numRef>
              <c:f>(Hoja1!$B$19:$F$19,Hoja1!$I$19)</c:f>
              <c:numCache>
                <c:ptCount val="6"/>
                <c:pt idx="0">
                  <c:v>853327</c:v>
                </c:pt>
                <c:pt idx="1">
                  <c:v>118944.87000000002</c:v>
                </c:pt>
                <c:pt idx="2">
                  <c:v>167625.56000000003</c:v>
                </c:pt>
                <c:pt idx="3">
                  <c:v>58034.3</c:v>
                </c:pt>
                <c:pt idx="4">
                  <c:v>671780.47</c:v>
                </c:pt>
                <c:pt idx="5">
                  <c:v>127723.27000000002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323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RECAUDACIÓN POR TIPO DE INGRESO</a:t>
            </a:r>
          </a:p>
        </c:rich>
      </c:tx>
      <c:layout>
        <c:manualLayout>
          <c:xMode val="factor"/>
          <c:yMode val="factor"/>
          <c:x val="0.02175"/>
          <c:y val="0.06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3"/>
          <c:y val="0.18825"/>
          <c:w val="0.6397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Hoja1!$J$5:$L$5</c:f>
              <c:strCache>
                <c:ptCount val="3"/>
                <c:pt idx="0">
                  <c:v>Total Aportes Aseguradoras</c:v>
                </c:pt>
                <c:pt idx="1">
                  <c:v>CONVENIO FONDO - SAT</c:v>
                </c:pt>
                <c:pt idx="2">
                  <c:v>Indemnización por Muerte no Cobrada</c:v>
                </c:pt>
              </c:strCache>
            </c:strRef>
          </c:cat>
          <c:val>
            <c:numRef>
              <c:f>Hoja1!$J$19:$L$19</c:f>
              <c:numCache>
                <c:ptCount val="3"/>
                <c:pt idx="0">
                  <c:v>1997435.4700000002</c:v>
                </c:pt>
                <c:pt idx="1">
                  <c:v>926866.26</c:v>
                </c:pt>
                <c:pt idx="2">
                  <c:v>804400.01</c:v>
                </c:pt>
              </c:numCache>
            </c:numRef>
          </c:val>
        </c:ser>
        <c:axId val="5442179"/>
        <c:axId val="48979612"/>
      </c:barChart>
      <c:catAx>
        <c:axId val="5442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TIPO DE INGRESO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79612"/>
        <c:crosses val="autoZero"/>
        <c:auto val="1"/>
        <c:lblOffset val="100"/>
        <c:noMultiLvlLbl val="0"/>
      </c:catAx>
      <c:valAx>
        <c:axId val="4897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MONTO RECAUDADO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217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RECAUDACIÓN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875"/>
          <c:w val="0.963"/>
          <c:h val="0.83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Hoja1!$M$7:$M$18</c:f>
              <c:numCache>
                <c:ptCount val="12"/>
                <c:pt idx="0">
                  <c:v>123901.7</c:v>
                </c:pt>
                <c:pt idx="1">
                  <c:v>473711.63000000006</c:v>
                </c:pt>
                <c:pt idx="2">
                  <c:v>538661.4700000001</c:v>
                </c:pt>
                <c:pt idx="3">
                  <c:v>353022.17</c:v>
                </c:pt>
                <c:pt idx="4">
                  <c:v>194601.52000000002</c:v>
                </c:pt>
                <c:pt idx="5">
                  <c:v>267149.11</c:v>
                </c:pt>
                <c:pt idx="6">
                  <c:v>309211.25</c:v>
                </c:pt>
                <c:pt idx="7">
                  <c:v>214973.24</c:v>
                </c:pt>
                <c:pt idx="8">
                  <c:v>379173.75</c:v>
                </c:pt>
                <c:pt idx="9">
                  <c:v>305793.9</c:v>
                </c:pt>
                <c:pt idx="10">
                  <c:v>440784.38</c:v>
                </c:pt>
                <c:pt idx="11">
                  <c:v>127717.62</c:v>
                </c:pt>
              </c:numCache>
            </c:numRef>
          </c:val>
        </c:ser>
        <c:axId val="38163325"/>
        <c:axId val="7925606"/>
      </c:barChart>
      <c:catAx>
        <c:axId val="38163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MES DE RECAUDACIÓN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925606"/>
        <c:crosses val="autoZero"/>
        <c:auto val="1"/>
        <c:lblOffset val="100"/>
        <c:noMultiLvlLbl val="0"/>
      </c:catAx>
      <c:valAx>
        <c:axId val="7925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MONTO RECAUDADO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633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tabSelected="1" zoomScaleSheetLayoutView="100" workbookViewId="0" topLeftCell="A1">
      <selection activeCell="D9" sqref="D9"/>
    </sheetView>
  </sheetViews>
  <sheetFormatPr defaultColWidth="11.421875" defaultRowHeight="12.75"/>
  <cols>
    <col min="1" max="1" width="23.00390625" style="0" customWidth="1"/>
    <col min="2" max="9" width="12.7109375" style="0" customWidth="1"/>
    <col min="10" max="10" width="16.140625" style="0" customWidth="1"/>
    <col min="11" max="12" width="12.7109375" style="0" customWidth="1"/>
    <col min="13" max="13" width="13.7109375" style="0" customWidth="1"/>
    <col min="14" max="14" width="0.13671875" style="0" hidden="1" customWidth="1"/>
    <col min="15" max="15" width="14.140625" style="0" customWidth="1"/>
  </cols>
  <sheetData>
    <row r="1" ht="13.5" thickBot="1"/>
    <row r="2" spans="1:13" ht="18.75" thickBot="1">
      <c r="A2" s="38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3.5" thickBot="1">
      <c r="A4" s="41"/>
      <c r="B4" s="4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39.75" customHeight="1">
      <c r="A5" s="3" t="s">
        <v>9</v>
      </c>
      <c r="B5" s="4" t="s">
        <v>6</v>
      </c>
      <c r="C5" s="4" t="s">
        <v>21</v>
      </c>
      <c r="D5" s="5" t="s">
        <v>7</v>
      </c>
      <c r="E5" s="4" t="s">
        <v>22</v>
      </c>
      <c r="F5" s="5" t="s">
        <v>23</v>
      </c>
      <c r="G5" s="5" t="s">
        <v>24</v>
      </c>
      <c r="H5" s="6" t="s">
        <v>8</v>
      </c>
      <c r="I5" s="4" t="s">
        <v>20</v>
      </c>
      <c r="J5" s="13" t="s">
        <v>25</v>
      </c>
      <c r="K5" s="17" t="s">
        <v>12</v>
      </c>
      <c r="L5" s="12" t="s">
        <v>26</v>
      </c>
      <c r="M5" s="13" t="s">
        <v>27</v>
      </c>
      <c r="N5" s="1"/>
    </row>
    <row r="6" spans="1:14" ht="21.75" customHeight="1">
      <c r="A6" s="3"/>
      <c r="B6" s="7"/>
      <c r="C6" s="7"/>
      <c r="D6" s="7"/>
      <c r="E6" s="7"/>
      <c r="F6" s="7"/>
      <c r="G6" s="7"/>
      <c r="H6" s="7"/>
      <c r="I6" s="7"/>
      <c r="J6" s="11"/>
      <c r="K6" s="17"/>
      <c r="L6" s="12"/>
      <c r="M6" s="11"/>
      <c r="N6" s="1"/>
    </row>
    <row r="7" spans="1:14" ht="39.75" customHeight="1">
      <c r="A7" s="8" t="s">
        <v>13</v>
      </c>
      <c r="B7" s="16">
        <v>0</v>
      </c>
      <c r="C7" s="16">
        <f>6613.05+11161.34</f>
        <v>17774.39</v>
      </c>
      <c r="D7" s="16">
        <v>0</v>
      </c>
      <c r="E7" s="16">
        <f>20880.06-13600</f>
        <v>7280.060000000001</v>
      </c>
      <c r="F7" s="16">
        <v>0</v>
      </c>
      <c r="G7" s="16">
        <v>0</v>
      </c>
      <c r="H7" s="16">
        <v>0</v>
      </c>
      <c r="I7" s="16">
        <v>12271.16</v>
      </c>
      <c r="J7" s="14">
        <f aca="true" t="shared" si="0" ref="J7:J18">SUM(B7:I7)</f>
        <v>37325.61</v>
      </c>
      <c r="K7" s="18">
        <f>22284.78+23.1+300.3+3580.5+3575.88+23069.48+16573.03+346.5+1781.08+1441.44</f>
        <v>72976.09</v>
      </c>
      <c r="L7" s="16">
        <v>13600</v>
      </c>
      <c r="M7" s="14">
        <f>SUM(J7:L7)</f>
        <v>123901.7</v>
      </c>
      <c r="N7" s="1"/>
    </row>
    <row r="8" spans="1:14" ht="39.75" customHeight="1">
      <c r="A8" s="8" t="s">
        <v>14</v>
      </c>
      <c r="B8" s="16">
        <f>152228+127808</f>
        <v>280036</v>
      </c>
      <c r="C8" s="16">
        <v>0</v>
      </c>
      <c r="D8" s="16">
        <f>20685.24+22306.29</f>
        <v>42991.53</v>
      </c>
      <c r="E8" s="16">
        <v>13771.26</v>
      </c>
      <c r="F8" s="16">
        <v>0</v>
      </c>
      <c r="G8" s="16">
        <v>0</v>
      </c>
      <c r="H8" s="16">
        <v>0</v>
      </c>
      <c r="I8" s="16">
        <v>14042</v>
      </c>
      <c r="J8" s="14">
        <f t="shared" si="0"/>
        <v>350840.79000000004</v>
      </c>
      <c r="K8" s="18">
        <v>23670.84</v>
      </c>
      <c r="L8" s="16">
        <f>12400+49600+12400+12400+12400</f>
        <v>99200</v>
      </c>
      <c r="M8" s="14">
        <f aca="true" t="shared" si="1" ref="M8:M18">SUM(J8:L8)</f>
        <v>473711.63000000006</v>
      </c>
      <c r="N8" s="1"/>
    </row>
    <row r="9" spans="1:14" ht="39.75" customHeight="1">
      <c r="A9" s="8" t="s">
        <v>15</v>
      </c>
      <c r="B9" s="16">
        <v>97321</v>
      </c>
      <c r="C9" s="16">
        <f>29081.83</f>
        <v>29081.83</v>
      </c>
      <c r="D9" s="16">
        <v>18234.21</v>
      </c>
      <c r="E9" s="16">
        <v>4584.92</v>
      </c>
      <c r="F9" s="16">
        <f>70501.48+101238.14+45314.59</f>
        <v>217054.21</v>
      </c>
      <c r="G9" s="16">
        <v>0</v>
      </c>
      <c r="H9" s="16">
        <v>0</v>
      </c>
      <c r="I9" s="16">
        <v>11701.99</v>
      </c>
      <c r="J9" s="14">
        <f t="shared" si="0"/>
        <v>377978.16000000003</v>
      </c>
      <c r="K9" s="18">
        <f>5942.86+14593.6+24419.78+3254.16+18280.08+22941.24+3841.32+4383.96+21960.16+28266.14</f>
        <v>147883.30000000002</v>
      </c>
      <c r="L9" s="16">
        <v>12800.01</v>
      </c>
      <c r="M9" s="14">
        <f t="shared" si="1"/>
        <v>538661.4700000001</v>
      </c>
      <c r="N9" s="1"/>
    </row>
    <row r="10" spans="1:15" ht="39.75" customHeight="1">
      <c r="A10" s="8" t="s">
        <v>16</v>
      </c>
      <c r="B10" s="16">
        <v>63682</v>
      </c>
      <c r="C10" s="16">
        <f>11283.86+10069.02</f>
        <v>21352.88</v>
      </c>
      <c r="D10" s="16">
        <v>17305.56</v>
      </c>
      <c r="E10" s="16">
        <v>4820.01</v>
      </c>
      <c r="F10" s="16">
        <v>39820.61</v>
      </c>
      <c r="G10" s="16">
        <v>0</v>
      </c>
      <c r="H10" s="16">
        <v>0</v>
      </c>
      <c r="I10" s="16">
        <v>11741.03</v>
      </c>
      <c r="J10" s="14">
        <f t="shared" si="0"/>
        <v>158722.09</v>
      </c>
      <c r="K10" s="18">
        <f>6259.62+261.8+8980.16+4179.28+21653.38+2817.92+15928.08+3946.04+18673.8</f>
        <v>82700.08</v>
      </c>
      <c r="L10" s="16">
        <f>74400+12400+12400+12400</f>
        <v>111600</v>
      </c>
      <c r="M10" s="14">
        <f t="shared" si="1"/>
        <v>353022.17</v>
      </c>
      <c r="N10" s="1"/>
      <c r="O10" t="s">
        <v>11</v>
      </c>
    </row>
    <row r="11" spans="1:14" ht="39.75" customHeight="1">
      <c r="A11" s="8" t="s">
        <v>17</v>
      </c>
      <c r="B11" s="16">
        <v>47088</v>
      </c>
      <c r="C11" s="16">
        <v>5170.55</v>
      </c>
      <c r="D11" s="16">
        <v>14093.77</v>
      </c>
      <c r="E11" s="16">
        <v>3387.63</v>
      </c>
      <c r="F11" s="21">
        <f>3749.1+33204.57</f>
        <v>36953.67</v>
      </c>
      <c r="G11" s="16">
        <v>0</v>
      </c>
      <c r="H11" s="16">
        <v>0</v>
      </c>
      <c r="I11" s="16">
        <v>8805.33</v>
      </c>
      <c r="J11" s="14">
        <f t="shared" si="0"/>
        <v>115498.95000000001</v>
      </c>
      <c r="K11" s="22">
        <f>21205.21+3398.64+19719.22+2903.6+27330.1+4545.8</f>
        <v>79102.56999999999</v>
      </c>
      <c r="L11" s="16">
        <v>0</v>
      </c>
      <c r="M11" s="14">
        <f t="shared" si="1"/>
        <v>194601.52000000002</v>
      </c>
      <c r="N11" s="1"/>
    </row>
    <row r="12" spans="1:14" ht="39.75" customHeight="1">
      <c r="A12" s="8" t="s">
        <v>18</v>
      </c>
      <c r="B12" s="16">
        <v>60417</v>
      </c>
      <c r="C12" s="16">
        <v>0</v>
      </c>
      <c r="D12" s="21">
        <v>11299.93</v>
      </c>
      <c r="E12" s="16">
        <v>4063.33</v>
      </c>
      <c r="F12" s="16">
        <f>30855.28</f>
        <v>30855.28</v>
      </c>
      <c r="G12" s="16">
        <v>0</v>
      </c>
      <c r="H12" s="16">
        <v>0</v>
      </c>
      <c r="I12" s="16">
        <v>9345.25</v>
      </c>
      <c r="J12" s="14">
        <f t="shared" si="0"/>
        <v>115980.79</v>
      </c>
      <c r="K12" s="18">
        <f>20506.08+4226.88+3589.04+21594.32+22886.82+4236.4+7782.6+3946.18</f>
        <v>88768.32</v>
      </c>
      <c r="L12" s="16">
        <f>12400+12400+12400+12400+12800</f>
        <v>62400</v>
      </c>
      <c r="M12" s="14">
        <f t="shared" si="1"/>
        <v>267149.11</v>
      </c>
      <c r="N12" s="1"/>
    </row>
    <row r="13" spans="1:16" ht="39.75" customHeight="1">
      <c r="A13" s="8" t="s">
        <v>19</v>
      </c>
      <c r="B13" s="16">
        <v>62234</v>
      </c>
      <c r="C13" s="16">
        <f>6992.63</f>
        <v>6992.63</v>
      </c>
      <c r="D13" s="16">
        <f>8908.04</f>
        <v>8908.04</v>
      </c>
      <c r="E13" s="16">
        <v>9819.69</v>
      </c>
      <c r="F13" s="16">
        <f>54127.45</f>
        <v>54127.45</v>
      </c>
      <c r="G13" s="16">
        <v>0</v>
      </c>
      <c r="H13" s="16">
        <v>0</v>
      </c>
      <c r="I13" s="16">
        <v>0</v>
      </c>
      <c r="J13" s="14">
        <f t="shared" si="0"/>
        <v>142081.81</v>
      </c>
      <c r="K13" s="18">
        <f>166.6+5030.76+9698.01+22330.59+3098.76+4212.6+15071+3279.64+3441.48</f>
        <v>66329.44</v>
      </c>
      <c r="L13" s="16">
        <f>12800+12400+12800+12400+12400+12800+12800+12400</f>
        <v>100800</v>
      </c>
      <c r="M13" s="14">
        <f t="shared" si="1"/>
        <v>309211.25</v>
      </c>
      <c r="N13" s="1"/>
      <c r="P13" s="15"/>
    </row>
    <row r="14" spans="1:16" ht="39.75" customHeight="1">
      <c r="A14" s="8" t="s">
        <v>1</v>
      </c>
      <c r="B14" s="16">
        <v>96845</v>
      </c>
      <c r="C14" s="16">
        <f>5017.54</f>
        <v>5017.54</v>
      </c>
      <c r="D14" s="16">
        <f>12521.29</f>
        <v>12521.29</v>
      </c>
      <c r="E14" s="16">
        <v>0</v>
      </c>
      <c r="F14" s="16">
        <v>0</v>
      </c>
      <c r="G14" s="16">
        <v>0</v>
      </c>
      <c r="H14" s="16">
        <v>0</v>
      </c>
      <c r="I14" s="16">
        <f>9073.07</f>
        <v>9073.07</v>
      </c>
      <c r="J14" s="14">
        <f t="shared" si="0"/>
        <v>123456.9</v>
      </c>
      <c r="K14" s="18">
        <f>3460.52+18446.32+3850.84+2632.56+4407.76+15049.91+2127.72+15027.11+1713.6</f>
        <v>66716.34000000001</v>
      </c>
      <c r="L14" s="16">
        <f>12400+12400</f>
        <v>24800</v>
      </c>
      <c r="M14" s="14">
        <f t="shared" si="1"/>
        <v>214973.24</v>
      </c>
      <c r="N14" s="1"/>
      <c r="P14" s="15"/>
    </row>
    <row r="15" spans="1:16" ht="39.75" customHeight="1">
      <c r="A15" s="8" t="s">
        <v>2</v>
      </c>
      <c r="B15" s="16">
        <v>55894</v>
      </c>
      <c r="C15" s="16">
        <f>16143.79</f>
        <v>16143.79</v>
      </c>
      <c r="D15" s="16">
        <f>10778.07</f>
        <v>10778.07</v>
      </c>
      <c r="E15" s="23">
        <f>12728.47+14799.47</f>
        <v>27527.94</v>
      </c>
      <c r="F15" s="16">
        <f>95701.94+63371.1</f>
        <v>159073.04</v>
      </c>
      <c r="G15" s="16">
        <v>0</v>
      </c>
      <c r="H15" s="16">
        <v>0</v>
      </c>
      <c r="I15" s="16">
        <f>12648.64</f>
        <v>12648.64</v>
      </c>
      <c r="J15" s="14">
        <f t="shared" si="0"/>
        <v>282065.48000000004</v>
      </c>
      <c r="K15" s="22">
        <f>1685.04+3213+19598.51+2698.92+13695.54+2360.96+4012.68+17026.28+2922.64+2008.72+15085.98</f>
        <v>84308.27</v>
      </c>
      <c r="L15" s="16">
        <v>12800</v>
      </c>
      <c r="M15" s="14">
        <f t="shared" si="1"/>
        <v>379173.75000000006</v>
      </c>
      <c r="N15" s="1"/>
      <c r="P15" s="15"/>
    </row>
    <row r="16" spans="1:14" ht="39.75" customHeight="1">
      <c r="A16" s="8" t="s">
        <v>3</v>
      </c>
      <c r="B16" s="16">
        <v>43400</v>
      </c>
      <c r="C16" s="16">
        <f>8132.08</f>
        <v>8132.08</v>
      </c>
      <c r="D16" s="16">
        <f>11763.04</f>
        <v>11763.04</v>
      </c>
      <c r="E16" s="21">
        <v>9801.2</v>
      </c>
      <c r="F16" s="16">
        <f>53427.41</f>
        <v>53427.41</v>
      </c>
      <c r="G16" s="16">
        <v>0</v>
      </c>
      <c r="H16" s="16">
        <v>0</v>
      </c>
      <c r="I16" s="16">
        <f>15079.1+12794.1</f>
        <v>27873.2</v>
      </c>
      <c r="J16" s="14">
        <f t="shared" si="0"/>
        <v>154396.93000000002</v>
      </c>
      <c r="K16" s="22">
        <f>1485.12+1547+1968.26+14528.29+4996.52+130.9+10875.59+1316.14+859.18+7001.68+1187.62+5500.67</f>
        <v>51396.97000000001</v>
      </c>
      <c r="L16" s="16">
        <f>12400+12400+12400+12800+12800+12400+12400+12400</f>
        <v>100000</v>
      </c>
      <c r="M16" s="14">
        <f t="shared" si="1"/>
        <v>305793.9</v>
      </c>
      <c r="N16" s="1"/>
    </row>
    <row r="17" spans="1:16" ht="39.75" customHeight="1">
      <c r="A17" s="8" t="s">
        <v>4</v>
      </c>
      <c r="B17" s="16">
        <v>46410</v>
      </c>
      <c r="C17" s="21">
        <v>7533.46</v>
      </c>
      <c r="D17" s="16">
        <f>17191</f>
        <v>17191</v>
      </c>
      <c r="E17" s="16">
        <f>10307.4</f>
        <v>10307.4</v>
      </c>
      <c r="F17" s="16">
        <f>56897.85</f>
        <v>56897.85</v>
      </c>
      <c r="G17" s="16">
        <v>0</v>
      </c>
      <c r="H17" s="16">
        <v>0</v>
      </c>
      <c r="I17" s="16">
        <v>10221.6</v>
      </c>
      <c r="J17" s="14">
        <f t="shared" si="0"/>
        <v>148561.31</v>
      </c>
      <c r="K17" s="22">
        <f>7369.32+1078.14+854.42+1147.16+6564.11+561.68+6099.1+1339.94+809.2</f>
        <v>25823.07</v>
      </c>
      <c r="L17" s="16">
        <f>76400+25600+12400+24800+12800+12400+12800+12800+12400+12800+12800+12800+12800+12800</f>
        <v>266400</v>
      </c>
      <c r="M17" s="14">
        <f t="shared" si="1"/>
        <v>440784.38</v>
      </c>
      <c r="N17" s="1"/>
      <c r="P17" s="15"/>
    </row>
    <row r="18" spans="1:14" ht="39.75" customHeight="1">
      <c r="A18" s="8" t="s">
        <v>5</v>
      </c>
      <c r="B18" s="16">
        <v>0</v>
      </c>
      <c r="C18" s="21">
        <f>9279.18+10602.71</f>
        <v>19881.89</v>
      </c>
      <c r="D18" s="16">
        <v>13839.05</v>
      </c>
      <c r="E18" s="21">
        <v>8995.27</v>
      </c>
      <c r="F18" s="16">
        <f>60524.62</f>
        <v>60524.62</v>
      </c>
      <c r="G18" s="16">
        <v>0</v>
      </c>
      <c r="H18" s="16">
        <v>0</v>
      </c>
      <c r="I18" s="16">
        <v>0</v>
      </c>
      <c r="J18" s="14">
        <f t="shared" si="0"/>
        <v>103240.83000000002</v>
      </c>
      <c r="K18" s="22">
        <f>1363.74+1506.54+718.76+6225.86+1006.74+954.38+83.3+6401.22+1204.28+4031.41+980.56</f>
        <v>24476.789999999997</v>
      </c>
      <c r="L18" s="16">
        <v>0</v>
      </c>
      <c r="M18" s="14">
        <f t="shared" si="1"/>
        <v>127717.62000000001</v>
      </c>
      <c r="N18" s="1"/>
    </row>
    <row r="19" spans="1:14" ht="39.75" customHeight="1" thickBot="1">
      <c r="A19" s="9" t="s">
        <v>10</v>
      </c>
      <c r="B19" s="10">
        <f aca="true" t="shared" si="2" ref="B19:J19">SUM(B7:B18)</f>
        <v>853327</v>
      </c>
      <c r="C19" s="10">
        <f t="shared" si="2"/>
        <v>137081.04000000004</v>
      </c>
      <c r="D19" s="10">
        <f t="shared" si="2"/>
        <v>178925.49000000002</v>
      </c>
      <c r="E19" s="10">
        <f t="shared" si="2"/>
        <v>104358.70999999999</v>
      </c>
      <c r="F19" s="10">
        <f>SUM(F7:F18)</f>
        <v>708734.14</v>
      </c>
      <c r="G19" s="10">
        <f>SUM(G7:G18)</f>
        <v>0</v>
      </c>
      <c r="H19" s="10">
        <f>SUM(H7:H18)</f>
        <v>0</v>
      </c>
      <c r="I19" s="10">
        <f t="shared" si="2"/>
        <v>127723.27000000002</v>
      </c>
      <c r="J19" s="20">
        <f t="shared" si="2"/>
        <v>2110149.65</v>
      </c>
      <c r="K19" s="19">
        <f>SUM(K7:K18)</f>
        <v>814152.08</v>
      </c>
      <c r="L19" s="10">
        <f>SUM(L7:L18)</f>
        <v>804400.01</v>
      </c>
      <c r="M19" s="11">
        <f>SUM(M7:M18)</f>
        <v>3728701.7399999998</v>
      </c>
      <c r="N19" s="1"/>
    </row>
    <row r="20" spans="1:14" ht="3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3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3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3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3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3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3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3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3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3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3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3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3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3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3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3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3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3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3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3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3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mergeCells count="3">
    <mergeCell ref="A2:M2"/>
    <mergeCell ref="A3:M3"/>
    <mergeCell ref="A4:B4"/>
  </mergeCells>
  <printOptions horizontalCentered="1" verticalCentered="1"/>
  <pageMargins left="0.45" right="0.1968503937007874" top="0.15748031496062992" bottom="0.34" header="0" footer="8.07"/>
  <pageSetup horizontalDpi="300" verticalDpi="3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E24" sqref="E24"/>
    </sheetView>
  </sheetViews>
  <sheetFormatPr defaultColWidth="11.421875" defaultRowHeight="12.75"/>
  <sheetData>
    <row r="1" spans="1:17" ht="15.75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8">
      <c r="A2" s="43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ht="13.5" thickBot="1"/>
    <row r="4" spans="1:17" ht="39" thickBot="1">
      <c r="A4" s="24" t="s">
        <v>31</v>
      </c>
      <c r="B4" s="45" t="s">
        <v>6</v>
      </c>
      <c r="C4" s="46"/>
      <c r="D4" s="45" t="s">
        <v>32</v>
      </c>
      <c r="E4" s="46"/>
      <c r="F4" s="47" t="s">
        <v>7</v>
      </c>
      <c r="G4" s="48"/>
      <c r="H4" s="45" t="s">
        <v>33</v>
      </c>
      <c r="I4" s="46"/>
      <c r="J4" s="47" t="s">
        <v>34</v>
      </c>
      <c r="K4" s="48"/>
      <c r="L4" s="45" t="s">
        <v>35</v>
      </c>
      <c r="M4" s="46"/>
      <c r="N4" s="45" t="s">
        <v>36</v>
      </c>
      <c r="O4" s="46"/>
      <c r="P4" s="45" t="s">
        <v>20</v>
      </c>
      <c r="Q4" s="46"/>
    </row>
    <row r="5" spans="1:17" ht="12.75">
      <c r="A5" s="25"/>
      <c r="B5" s="26" t="s">
        <v>37</v>
      </c>
      <c r="C5" s="26" t="s">
        <v>38</v>
      </c>
      <c r="D5" s="26" t="s">
        <v>37</v>
      </c>
      <c r="E5" s="26" t="s">
        <v>38</v>
      </c>
      <c r="F5" s="26" t="s">
        <v>37</v>
      </c>
      <c r="G5" s="26" t="s">
        <v>38</v>
      </c>
      <c r="H5" s="26" t="s">
        <v>37</v>
      </c>
      <c r="I5" s="26" t="s">
        <v>38</v>
      </c>
      <c r="J5" s="26" t="s">
        <v>37</v>
      </c>
      <c r="K5" s="27" t="s">
        <v>38</v>
      </c>
      <c r="L5" s="26" t="s">
        <v>37</v>
      </c>
      <c r="M5" s="26" t="s">
        <v>38</v>
      </c>
      <c r="N5" s="26" t="s">
        <v>37</v>
      </c>
      <c r="O5" s="26" t="s">
        <v>38</v>
      </c>
      <c r="P5" s="26" t="s">
        <v>37</v>
      </c>
      <c r="Q5" s="27" t="s">
        <v>38</v>
      </c>
    </row>
    <row r="6" spans="1:17" ht="12.75">
      <c r="A6" s="28" t="s">
        <v>13</v>
      </c>
      <c r="B6" s="29">
        <v>12780.84</v>
      </c>
      <c r="C6" s="30">
        <f>B6</f>
        <v>12780.84</v>
      </c>
      <c r="D6" s="29">
        <v>2908.18</v>
      </c>
      <c r="E6" s="30">
        <f>D6</f>
        <v>2908.18</v>
      </c>
      <c r="F6" s="29">
        <v>2230.63</v>
      </c>
      <c r="G6" s="30">
        <f>F6</f>
        <v>2230.63</v>
      </c>
      <c r="H6" s="29">
        <v>1377.13</v>
      </c>
      <c r="I6" s="30">
        <f>H6</f>
        <v>1377.13</v>
      </c>
      <c r="J6" s="29">
        <v>10123.67</v>
      </c>
      <c r="K6" s="30">
        <f>J6</f>
        <v>10123.67</v>
      </c>
      <c r="L6" s="29">
        <v>0</v>
      </c>
      <c r="M6" s="30">
        <f>L6</f>
        <v>0</v>
      </c>
      <c r="N6" s="29">
        <v>0</v>
      </c>
      <c r="O6" s="30">
        <f>N6</f>
        <v>0</v>
      </c>
      <c r="P6" s="29">
        <v>1404.2</v>
      </c>
      <c r="Q6" s="31">
        <f>P6</f>
        <v>1404.2</v>
      </c>
    </row>
    <row r="7" spans="1:17" ht="12.75">
      <c r="A7" s="28" t="s">
        <v>14</v>
      </c>
      <c r="B7" s="29">
        <v>22512.96</v>
      </c>
      <c r="C7" s="30">
        <f aca="true" t="shared" si="0" ref="C7:C17">B7-B6</f>
        <v>9732.119999999999</v>
      </c>
      <c r="D7" s="29">
        <v>4036.57</v>
      </c>
      <c r="E7" s="30">
        <f aca="true" t="shared" si="1" ref="E7:E17">D7-D6</f>
        <v>1128.3900000000003</v>
      </c>
      <c r="F7" s="29">
        <v>4054.05</v>
      </c>
      <c r="G7" s="30">
        <f aca="true" t="shared" si="2" ref="G7:G17">F7-F6</f>
        <v>1823.42</v>
      </c>
      <c r="H7" s="29">
        <v>1835.62</v>
      </c>
      <c r="I7" s="30">
        <f aca="true" t="shared" si="3" ref="I7:Q17">H7-H6</f>
        <v>458.4899999999998</v>
      </c>
      <c r="J7" s="29">
        <v>14655.27</v>
      </c>
      <c r="K7" s="30">
        <f t="shared" si="3"/>
        <v>4531.6</v>
      </c>
      <c r="L7" s="30"/>
      <c r="M7" s="30">
        <f t="shared" si="3"/>
        <v>0</v>
      </c>
      <c r="N7" s="30"/>
      <c r="O7" s="30">
        <f t="shared" si="3"/>
        <v>0</v>
      </c>
      <c r="P7" s="29">
        <v>2574.4</v>
      </c>
      <c r="Q7" s="31">
        <f t="shared" si="3"/>
        <v>1170.2</v>
      </c>
    </row>
    <row r="8" spans="1:17" ht="12.75">
      <c r="A8" s="28" t="s">
        <v>15</v>
      </c>
      <c r="B8" s="29">
        <v>28881.17</v>
      </c>
      <c r="C8" s="30">
        <f t="shared" si="0"/>
        <v>6368.209999999999</v>
      </c>
      <c r="D8" s="29">
        <v>5043.37</v>
      </c>
      <c r="E8" s="30">
        <f t="shared" si="1"/>
        <v>1006.7999999999997</v>
      </c>
      <c r="F8" s="29">
        <v>5784.61</v>
      </c>
      <c r="G8" s="30">
        <f t="shared" si="2"/>
        <v>1730.5599999999995</v>
      </c>
      <c r="H8" s="29">
        <v>2317.62</v>
      </c>
      <c r="I8" s="30">
        <f t="shared" si="3"/>
        <v>482</v>
      </c>
      <c r="J8" s="29">
        <v>19002.25</v>
      </c>
      <c r="K8" s="30">
        <f t="shared" si="3"/>
        <v>4346.98</v>
      </c>
      <c r="L8" s="30"/>
      <c r="M8" s="30">
        <f t="shared" si="3"/>
        <v>0</v>
      </c>
      <c r="N8" s="30"/>
      <c r="O8" s="30">
        <f t="shared" si="3"/>
        <v>0</v>
      </c>
      <c r="P8" s="29">
        <v>3748.5</v>
      </c>
      <c r="Q8" s="31">
        <f t="shared" si="3"/>
        <v>1174.1</v>
      </c>
    </row>
    <row r="9" spans="1:17" ht="12.75">
      <c r="A9" s="28" t="s">
        <v>16</v>
      </c>
      <c r="B9" s="29">
        <v>33590</v>
      </c>
      <c r="C9" s="30">
        <f t="shared" si="0"/>
        <v>4708.830000000002</v>
      </c>
      <c r="D9" s="29">
        <v>5560.42</v>
      </c>
      <c r="E9" s="30">
        <f t="shared" si="1"/>
        <v>517.0500000000002</v>
      </c>
      <c r="F9" s="29">
        <v>7193.98</v>
      </c>
      <c r="G9" s="30">
        <f t="shared" si="2"/>
        <v>1409.37</v>
      </c>
      <c r="H9" s="29">
        <v>2656.38</v>
      </c>
      <c r="I9" s="30">
        <f t="shared" si="3"/>
        <v>338.7600000000002</v>
      </c>
      <c r="J9" s="29">
        <v>22322.7</v>
      </c>
      <c r="K9" s="32">
        <f t="shared" si="3"/>
        <v>3320.4500000000007</v>
      </c>
      <c r="L9" s="30"/>
      <c r="M9" s="30">
        <f t="shared" si="3"/>
        <v>0</v>
      </c>
      <c r="N9" s="30"/>
      <c r="O9" s="30">
        <f t="shared" si="3"/>
        <v>0</v>
      </c>
      <c r="P9" s="29">
        <v>4629.04</v>
      </c>
      <c r="Q9" s="31">
        <f t="shared" si="3"/>
        <v>880.54</v>
      </c>
    </row>
    <row r="10" spans="1:17" ht="12.75">
      <c r="A10" s="28" t="s">
        <v>17</v>
      </c>
      <c r="B10" s="29">
        <v>39631.71</v>
      </c>
      <c r="C10" s="30">
        <f t="shared" si="0"/>
        <v>6041.709999999999</v>
      </c>
      <c r="D10" s="29">
        <v>6259.69</v>
      </c>
      <c r="E10" s="30">
        <f t="shared" si="1"/>
        <v>699.2699999999995</v>
      </c>
      <c r="F10" s="29">
        <v>8323.98</v>
      </c>
      <c r="G10" s="32">
        <f t="shared" si="2"/>
        <v>1130</v>
      </c>
      <c r="H10" s="29">
        <v>3062.72</v>
      </c>
      <c r="I10" s="30">
        <f t="shared" si="3"/>
        <v>406.3399999999997</v>
      </c>
      <c r="J10" s="29">
        <v>25408.23</v>
      </c>
      <c r="K10" s="30">
        <f t="shared" si="3"/>
        <v>3085.529999999999</v>
      </c>
      <c r="L10" s="30"/>
      <c r="M10" s="30">
        <f t="shared" si="3"/>
        <v>0</v>
      </c>
      <c r="N10" s="30"/>
      <c r="O10" s="30">
        <f t="shared" si="3"/>
        <v>0</v>
      </c>
      <c r="P10" s="29">
        <v>5563.56</v>
      </c>
      <c r="Q10" s="31">
        <f t="shared" si="3"/>
        <v>934.5200000000004</v>
      </c>
    </row>
    <row r="11" spans="1:17" ht="12.75">
      <c r="A11" s="28" t="s">
        <v>18</v>
      </c>
      <c r="B11" s="29">
        <v>45855.06</v>
      </c>
      <c r="C11" s="30">
        <f t="shared" si="0"/>
        <v>6223.3499999999985</v>
      </c>
      <c r="D11" s="29">
        <v>6761.44</v>
      </c>
      <c r="E11" s="30">
        <f t="shared" si="1"/>
        <v>501.75</v>
      </c>
      <c r="F11" s="29">
        <v>9214.78</v>
      </c>
      <c r="G11" s="30">
        <f t="shared" si="2"/>
        <v>890.8000000000011</v>
      </c>
      <c r="H11" s="29">
        <v>4044.68</v>
      </c>
      <c r="I11" s="30">
        <f t="shared" si="3"/>
        <v>981.96</v>
      </c>
      <c r="J11" s="29">
        <v>30820.98</v>
      </c>
      <c r="K11" s="30">
        <f t="shared" si="3"/>
        <v>5412.75</v>
      </c>
      <c r="L11" s="30"/>
      <c r="M11" s="30">
        <f t="shared" si="3"/>
        <v>0</v>
      </c>
      <c r="N11" s="30"/>
      <c r="O11" s="30">
        <f t="shared" si="3"/>
        <v>0</v>
      </c>
      <c r="P11" s="29">
        <v>6470.87</v>
      </c>
      <c r="Q11" s="31">
        <f t="shared" si="3"/>
        <v>907.3099999999995</v>
      </c>
    </row>
    <row r="12" spans="1:17" ht="12.75">
      <c r="A12" s="28" t="s">
        <v>19</v>
      </c>
      <c r="B12" s="29">
        <v>55539.56</v>
      </c>
      <c r="C12" s="30">
        <f t="shared" si="0"/>
        <v>9684.5</v>
      </c>
      <c r="D12" s="29">
        <v>8376.12</v>
      </c>
      <c r="E12" s="30">
        <f t="shared" si="1"/>
        <v>1614.6800000000012</v>
      </c>
      <c r="F12" s="29">
        <v>10466.91</v>
      </c>
      <c r="G12" s="30">
        <f t="shared" si="2"/>
        <v>1252.1299999999992</v>
      </c>
      <c r="H12" s="29">
        <v>5317.53</v>
      </c>
      <c r="I12" s="32">
        <f t="shared" si="3"/>
        <v>1272.85</v>
      </c>
      <c r="J12" s="29">
        <v>40391.17</v>
      </c>
      <c r="K12" s="30">
        <f t="shared" si="3"/>
        <v>9570.189999999999</v>
      </c>
      <c r="L12" s="30"/>
      <c r="M12" s="30">
        <f t="shared" si="3"/>
        <v>0</v>
      </c>
      <c r="N12" s="30"/>
      <c r="O12" s="30">
        <f t="shared" si="3"/>
        <v>0</v>
      </c>
      <c r="P12" s="29">
        <v>7735.73</v>
      </c>
      <c r="Q12" s="31">
        <f t="shared" si="3"/>
        <v>1264.8599999999997</v>
      </c>
    </row>
    <row r="13" spans="1:17" ht="12.75">
      <c r="A13" s="28" t="s">
        <v>1</v>
      </c>
      <c r="B13" s="29">
        <v>61098.98</v>
      </c>
      <c r="C13" s="30">
        <f t="shared" si="0"/>
        <v>5559.4200000000055</v>
      </c>
      <c r="D13" s="29">
        <v>9189.33</v>
      </c>
      <c r="E13" s="30">
        <f t="shared" si="1"/>
        <v>813.2099999999991</v>
      </c>
      <c r="F13" s="29">
        <v>11544.72</v>
      </c>
      <c r="G13" s="30">
        <f t="shared" si="2"/>
        <v>1077.8099999999995</v>
      </c>
      <c r="H13" s="29">
        <v>6797.48</v>
      </c>
      <c r="I13" s="32">
        <f t="shared" si="3"/>
        <v>1479.9499999999998</v>
      </c>
      <c r="J13" s="29">
        <v>46728.28</v>
      </c>
      <c r="K13" s="30">
        <f t="shared" si="3"/>
        <v>6337.110000000001</v>
      </c>
      <c r="L13" s="30"/>
      <c r="M13" s="30">
        <f t="shared" si="3"/>
        <v>0</v>
      </c>
      <c r="N13" s="30"/>
      <c r="O13" s="30">
        <f t="shared" si="3"/>
        <v>0</v>
      </c>
      <c r="P13" s="29">
        <v>8775.2</v>
      </c>
      <c r="Q13" s="31">
        <f t="shared" si="3"/>
        <v>1039.4700000000012</v>
      </c>
    </row>
    <row r="14" spans="1:17" ht="12.75">
      <c r="A14" s="28" t="s">
        <v>2</v>
      </c>
      <c r="B14" s="29">
        <v>65439</v>
      </c>
      <c r="C14" s="30">
        <f t="shared" si="0"/>
        <v>4340.019999999997</v>
      </c>
      <c r="D14" s="29">
        <v>9942.67</v>
      </c>
      <c r="E14" s="30">
        <f t="shared" si="1"/>
        <v>753.3400000000001</v>
      </c>
      <c r="F14" s="29">
        <v>12721.02</v>
      </c>
      <c r="G14" s="30">
        <f t="shared" si="2"/>
        <v>1176.300000000001</v>
      </c>
      <c r="H14" s="29">
        <v>7777.6</v>
      </c>
      <c r="I14" s="32">
        <f t="shared" si="3"/>
        <v>980.1200000000008</v>
      </c>
      <c r="J14" s="29">
        <v>52071.02</v>
      </c>
      <c r="K14" s="30">
        <f t="shared" si="3"/>
        <v>5342.739999999998</v>
      </c>
      <c r="L14" s="30"/>
      <c r="M14" s="30">
        <f t="shared" si="3"/>
        <v>0</v>
      </c>
      <c r="N14" s="30"/>
      <c r="O14" s="30">
        <f t="shared" si="3"/>
        <v>0</v>
      </c>
      <c r="P14" s="29">
        <v>10054.61</v>
      </c>
      <c r="Q14" s="31">
        <f t="shared" si="3"/>
        <v>1279.4099999999999</v>
      </c>
    </row>
    <row r="15" spans="1:17" ht="12.75">
      <c r="A15" s="28" t="s">
        <v>3</v>
      </c>
      <c r="B15" s="29">
        <v>70080.05</v>
      </c>
      <c r="C15" s="30">
        <f t="shared" si="0"/>
        <v>4641.050000000003</v>
      </c>
      <c r="D15" s="29">
        <v>11002.95</v>
      </c>
      <c r="E15" s="30">
        <f t="shared" si="1"/>
        <v>1060.2800000000007</v>
      </c>
      <c r="F15" s="29">
        <v>14440.12</v>
      </c>
      <c r="G15" s="30">
        <f t="shared" si="2"/>
        <v>1719.1000000000004</v>
      </c>
      <c r="H15" s="29">
        <v>8808.34</v>
      </c>
      <c r="I15" s="30">
        <f t="shared" si="3"/>
        <v>1030.7399999999998</v>
      </c>
      <c r="J15" s="29">
        <v>57760.81</v>
      </c>
      <c r="K15" s="30">
        <f t="shared" si="3"/>
        <v>5689.790000000001</v>
      </c>
      <c r="L15" s="30"/>
      <c r="M15" s="30">
        <f t="shared" si="3"/>
        <v>0</v>
      </c>
      <c r="N15" s="30"/>
      <c r="O15" s="30">
        <f t="shared" si="3"/>
        <v>0</v>
      </c>
      <c r="P15" s="29">
        <v>11076.77</v>
      </c>
      <c r="Q15" s="31">
        <f t="shared" si="3"/>
        <v>1022.1599999999999</v>
      </c>
    </row>
    <row r="16" spans="1:17" ht="24">
      <c r="A16" s="28" t="s">
        <v>4</v>
      </c>
      <c r="B16" s="29">
        <v>74122.55</v>
      </c>
      <c r="C16" s="30">
        <f t="shared" si="0"/>
        <v>4042.5</v>
      </c>
      <c r="D16" s="29">
        <v>11930.86</v>
      </c>
      <c r="E16" s="30">
        <f t="shared" si="1"/>
        <v>927.9099999999999</v>
      </c>
      <c r="F16" s="29">
        <v>15824.03</v>
      </c>
      <c r="G16" s="30">
        <f t="shared" si="2"/>
        <v>1383.9099999999999</v>
      </c>
      <c r="H16" s="29">
        <v>9707.87</v>
      </c>
      <c r="I16" s="32">
        <f t="shared" si="3"/>
        <v>899.5300000000007</v>
      </c>
      <c r="J16" s="29">
        <v>63813.27</v>
      </c>
      <c r="K16" s="30">
        <f t="shared" si="3"/>
        <v>6052.459999999999</v>
      </c>
      <c r="L16" s="30"/>
      <c r="M16" s="30">
        <f t="shared" si="3"/>
        <v>0</v>
      </c>
      <c r="N16" s="30"/>
      <c r="O16" s="30">
        <f t="shared" si="3"/>
        <v>0</v>
      </c>
      <c r="P16" s="29">
        <v>11777.48</v>
      </c>
      <c r="Q16" s="31">
        <f t="shared" si="3"/>
        <v>700.7099999999991</v>
      </c>
    </row>
    <row r="17" spans="1:17" ht="13.5" thickBot="1">
      <c r="A17" s="33" t="s">
        <v>5</v>
      </c>
      <c r="B17" s="34">
        <v>78056.68</v>
      </c>
      <c r="C17" s="35">
        <f t="shared" si="0"/>
        <v>3934.12999999999</v>
      </c>
      <c r="D17" s="34">
        <v>12824.01</v>
      </c>
      <c r="E17" s="35">
        <f t="shared" si="1"/>
        <v>893.1499999999996</v>
      </c>
      <c r="F17" s="34">
        <v>17290.34</v>
      </c>
      <c r="G17" s="35">
        <f t="shared" si="2"/>
        <v>1466.3099999999995</v>
      </c>
      <c r="H17" s="34">
        <v>10658.15</v>
      </c>
      <c r="I17" s="36">
        <f t="shared" si="3"/>
        <v>950.2799999999988</v>
      </c>
      <c r="J17" s="34">
        <v>69555.6</v>
      </c>
      <c r="K17" s="35">
        <f t="shared" si="3"/>
        <v>5742.330000000009</v>
      </c>
      <c r="L17" s="35"/>
      <c r="M17" s="35">
        <f t="shared" si="3"/>
        <v>0</v>
      </c>
      <c r="N17" s="35"/>
      <c r="O17" s="35">
        <f t="shared" si="3"/>
        <v>0</v>
      </c>
      <c r="P17" s="34">
        <v>12631.84</v>
      </c>
      <c r="Q17" s="37">
        <f t="shared" si="3"/>
        <v>854.3600000000006</v>
      </c>
    </row>
  </sheetData>
  <mergeCells count="10">
    <mergeCell ref="A1:Q1"/>
    <mergeCell ref="A2:Q2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75" right="0.75" top="1" bottom="1" header="0" footer="0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jperales</dc:creator>
  <cp:keywords/>
  <dc:description/>
  <cp:lastModifiedBy>GSUAREZ</cp:lastModifiedBy>
  <cp:lastPrinted>2009-09-01T17:18:54Z</cp:lastPrinted>
  <dcterms:created xsi:type="dcterms:W3CDTF">2004-08-27T14:51:49Z</dcterms:created>
  <dcterms:modified xsi:type="dcterms:W3CDTF">2009-11-11T17:36:19Z</dcterms:modified>
  <cp:category/>
  <cp:version/>
  <cp:contentType/>
  <cp:contentStatus/>
</cp:coreProperties>
</file>